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Gedeelde drives\AWV_Verkeerslichtenregelingen\Richtlijnen\In opmaak\HOV2026\Bijlagen\"/>
    </mc:Choice>
  </mc:AlternateContent>
  <xr:revisionPtr revIDLastSave="0" documentId="8_{E0D29F66-9C31-4B31-8148-3DE675108A73}" xr6:coauthVersionLast="47" xr6:coauthVersionMax="47" xr10:uidLastSave="{00000000-0000-0000-0000-000000000000}"/>
  <bookViews>
    <workbookView xWindow="-120" yWindow="-120" windowWidth="29040" windowHeight="15720" xr2:uid="{003B1D65-2D5B-4FE8-B19B-4135E6177F0F}"/>
  </bookViews>
  <sheets>
    <sheet name="Signaalgroep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C30" i="1"/>
  <c r="N20" i="1" s="1"/>
  <c r="S20" i="1" s="1"/>
  <c r="C16" i="1"/>
  <c r="N16" i="1" s="1"/>
  <c r="E20" i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G19" i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M16" i="1"/>
  <c r="M30" i="1"/>
  <c r="K29" i="1"/>
  <c r="L29" i="1" s="1"/>
  <c r="M29" i="1" s="1"/>
  <c r="K28" i="1"/>
  <c r="L28" i="1" s="1"/>
  <c r="M28" i="1" s="1"/>
  <c r="K27" i="1"/>
  <c r="L27" i="1" s="1"/>
  <c r="M27" i="1" s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20" i="1"/>
  <c r="L20" i="1" s="1"/>
  <c r="M20" i="1" s="1"/>
  <c r="K19" i="1"/>
  <c r="L19" i="1" s="1"/>
  <c r="M19" i="1" s="1"/>
  <c r="K6" i="1"/>
  <c r="L6" i="1" s="1"/>
  <c r="M6" i="1" s="1"/>
  <c r="K7" i="1"/>
  <c r="L7" i="1" s="1"/>
  <c r="M7" i="1" s="1"/>
  <c r="K8" i="1"/>
  <c r="L8" i="1" s="1"/>
  <c r="M8" i="1" s="1"/>
  <c r="K9" i="1"/>
  <c r="L9" i="1" s="1"/>
  <c r="M9" i="1" s="1"/>
  <c r="K10" i="1"/>
  <c r="L10" i="1" s="1"/>
  <c r="M10" i="1" s="1"/>
  <c r="K11" i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 s="1"/>
  <c r="M15" i="1" s="1"/>
  <c r="K5" i="1"/>
  <c r="L5" i="1" s="1"/>
  <c r="M5" i="1" s="1"/>
  <c r="S16" i="1" l="1"/>
  <c r="S15" i="1"/>
  <c r="Q16" i="1"/>
  <c r="Q20" i="1"/>
  <c r="R20" i="1" s="1"/>
  <c r="T20" i="1" s="1"/>
  <c r="N12" i="1"/>
  <c r="N10" i="1"/>
  <c r="S10" i="1" s="1"/>
  <c r="N7" i="1"/>
  <c r="S7" i="1" s="1"/>
  <c r="N6" i="1"/>
  <c r="S6" i="1" s="1"/>
  <c r="N11" i="1"/>
  <c r="S11" i="1" s="1"/>
  <c r="N9" i="1"/>
  <c r="S9" i="1" s="1"/>
  <c r="N5" i="1"/>
  <c r="S5" i="1" s="1"/>
  <c r="T5" i="1" s="1"/>
  <c r="N8" i="1"/>
  <c r="S8" i="1" s="1"/>
  <c r="N15" i="1"/>
  <c r="Q15" i="1" s="1"/>
  <c r="N14" i="1"/>
  <c r="N13" i="1"/>
  <c r="S13" i="1" s="1"/>
  <c r="N26" i="1"/>
  <c r="S26" i="1" s="1"/>
  <c r="N27" i="1"/>
  <c r="S27" i="1" s="1"/>
  <c r="N24" i="1"/>
  <c r="S24" i="1" s="1"/>
  <c r="N19" i="1"/>
  <c r="S19" i="1" s="1"/>
  <c r="T19" i="1" s="1"/>
  <c r="N23" i="1"/>
  <c r="S23" i="1" s="1"/>
  <c r="N25" i="1"/>
  <c r="S25" i="1" s="1"/>
  <c r="N30" i="1"/>
  <c r="Q30" i="1" s="1"/>
  <c r="N22" i="1"/>
  <c r="S22" i="1" s="1"/>
  <c r="N29" i="1"/>
  <c r="Q29" i="1" s="1"/>
  <c r="N21" i="1"/>
  <c r="S21" i="1" s="1"/>
  <c r="N28" i="1"/>
  <c r="S29" i="1" l="1"/>
  <c r="S30" i="1"/>
  <c r="Q28" i="1"/>
  <c r="S28" i="1"/>
  <c r="Q14" i="1"/>
  <c r="S14" i="1"/>
  <c r="O20" i="1"/>
  <c r="P20" i="1"/>
  <c r="Q25" i="1"/>
  <c r="O25" i="1"/>
  <c r="Q24" i="1"/>
  <c r="O24" i="1"/>
  <c r="Q26" i="1"/>
  <c r="O26" i="1"/>
  <c r="Q22" i="1"/>
  <c r="O22" i="1"/>
  <c r="P22" i="1"/>
  <c r="Q23" i="1"/>
  <c r="P23" i="1"/>
  <c r="O23" i="1"/>
  <c r="Q21" i="1"/>
  <c r="R21" i="1" s="1"/>
  <c r="T21" i="1" s="1"/>
  <c r="P21" i="1"/>
  <c r="O21" i="1"/>
  <c r="Q27" i="1"/>
  <c r="O27" i="1"/>
  <c r="Q19" i="1"/>
  <c r="P19" i="1"/>
  <c r="O19" i="1"/>
  <c r="Q10" i="1"/>
  <c r="O10" i="1"/>
  <c r="Q9" i="1"/>
  <c r="O9" i="1"/>
  <c r="P9" i="1"/>
  <c r="Q11" i="1"/>
  <c r="O11" i="1"/>
  <c r="Q6" i="1"/>
  <c r="P6" i="1"/>
  <c r="O6" i="1"/>
  <c r="Q13" i="1"/>
  <c r="O13" i="1"/>
  <c r="Q7" i="1"/>
  <c r="P7" i="1"/>
  <c r="O7" i="1"/>
  <c r="Q12" i="1"/>
  <c r="O12" i="1"/>
  <c r="Q8" i="1"/>
  <c r="O8" i="1"/>
  <c r="P8" i="1"/>
  <c r="Q5" i="1"/>
  <c r="P5" i="1"/>
  <c r="O5" i="1"/>
  <c r="O30" i="1" l="1"/>
  <c r="R6" i="1"/>
  <c r="T6" i="1" s="1"/>
  <c r="P16" i="1"/>
  <c r="P30" i="1"/>
  <c r="O16" i="1"/>
  <c r="R22" i="1"/>
  <c r="T22" i="1" s="1"/>
  <c r="R7" i="1" l="1"/>
  <c r="T7" i="1" s="1"/>
  <c r="R23" i="1"/>
  <c r="R24" i="1" l="1"/>
  <c r="T24" i="1" s="1"/>
  <c r="T23" i="1"/>
  <c r="R8" i="1"/>
  <c r="T8" i="1" s="1"/>
  <c r="R9" i="1"/>
  <c r="R25" i="1" l="1"/>
  <c r="T25" i="1" s="1"/>
  <c r="R10" i="1"/>
  <c r="T9" i="1"/>
  <c r="R26" i="1" l="1"/>
  <c r="T26" i="1" s="1"/>
  <c r="T10" i="1"/>
  <c r="R11" i="1"/>
  <c r="R27" i="1" l="1"/>
  <c r="T27" i="1" s="1"/>
  <c r="T11" i="1"/>
  <c r="R12" i="1"/>
  <c r="T12" i="1" l="1"/>
  <c r="R13" i="1"/>
  <c r="R28" i="1"/>
  <c r="T28" i="1" s="1"/>
  <c r="R29" i="1"/>
  <c r="T29" i="1" s="1"/>
  <c r="T13" i="1" l="1"/>
  <c r="R14" i="1"/>
  <c r="R30" i="1"/>
  <c r="T30" i="1" s="1"/>
  <c r="T14" i="1" l="1"/>
  <c r="R15" i="1"/>
  <c r="T15" i="1" l="1"/>
  <c r="R16" i="1"/>
  <c r="T16" i="1" s="1"/>
  <c r="U16" i="1" s="1"/>
  <c r="U15" i="1" l="1"/>
  <c r="U25" i="1"/>
  <c r="U21" i="1"/>
  <c r="U23" i="1"/>
  <c r="U7" i="1"/>
  <c r="U14" i="1"/>
  <c r="U6" i="1"/>
  <c r="U9" i="1"/>
  <c r="U22" i="1"/>
  <c r="U17" i="1"/>
  <c r="U13" i="1"/>
  <c r="U30" i="1"/>
  <c r="U8" i="1"/>
  <c r="U27" i="1"/>
  <c r="U18" i="1"/>
  <c r="U24" i="1"/>
  <c r="U12" i="1"/>
  <c r="U10" i="1"/>
  <c r="U29" i="1"/>
  <c r="U11" i="1"/>
  <c r="U26" i="1"/>
  <c r="U5" i="1"/>
  <c r="U20" i="1"/>
  <c r="U19" i="1"/>
  <c r="U28" i="1"/>
</calcChain>
</file>

<file path=xl/sharedStrings.xml><?xml version="1.0" encoding="utf-8"?>
<sst xmlns="http://schemas.openxmlformats.org/spreadsheetml/2006/main" count="106" uniqueCount="49">
  <si>
    <t>-</t>
  </si>
  <si>
    <t>Intensiteit</t>
  </si>
  <si>
    <t>Cyclustijd:</t>
  </si>
  <si>
    <t>A V O N D</t>
  </si>
  <si>
    <t>s</t>
  </si>
  <si>
    <t>Groentijd:</t>
  </si>
  <si>
    <t>Afrijcap.:</t>
  </si>
  <si>
    <t>pae/h</t>
  </si>
  <si>
    <t>Vraag</t>
  </si>
  <si>
    <t>O C H T E N D</t>
  </si>
  <si>
    <t>Oude</t>
  </si>
  <si>
    <t>wachtrij</t>
  </si>
  <si>
    <t>wachtrij-</t>
  </si>
  <si>
    <t>Nieuwe</t>
  </si>
  <si>
    <t>lengte [m]</t>
  </si>
  <si>
    <t>OF, indien niet de hele</t>
  </si>
  <si>
    <t>groentijd wordt afgereden</t>
  </si>
  <si>
    <t>met de afrijcapaciteit, dan</t>
  </si>
  <si>
    <t>Capaciteit:</t>
  </si>
  <si>
    <t>pae/cyclus</t>
  </si>
  <si>
    <t>bij groentijd niets of 0 invullen</t>
  </si>
  <si>
    <t>en wel invullen:</t>
  </si>
  <si>
    <t>pae/15min</t>
  </si>
  <si>
    <t>Gemiddelde</t>
  </si>
  <si>
    <t>verzadigings-</t>
  </si>
  <si>
    <t>graad over</t>
  </si>
  <si>
    <t>twee uur [%]</t>
  </si>
  <si>
    <t>één uur [%]</t>
  </si>
  <si>
    <t>drukste u [%]:</t>
  </si>
  <si>
    <t>drukste 2u [%]:</t>
  </si>
  <si>
    <t>Verz.graad</t>
  </si>
  <si>
    <t>15min]</t>
  </si>
  <si>
    <t>[pae/</t>
  </si>
  <si>
    <t>(evt.)</t>
  </si>
  <si>
    <t xml:space="preserve">[m] </t>
  </si>
  <si>
    <t xml:space="preserve"> [m]</t>
  </si>
  <si>
    <t>toename</t>
  </si>
  <si>
    <t>[pae]</t>
  </si>
  <si>
    <t xml:space="preserve">toename </t>
  </si>
  <si>
    <t>Max. wacht-</t>
  </si>
  <si>
    <t>rijlengte door</t>
  </si>
  <si>
    <t>file-</t>
  </si>
  <si>
    <t>Filelengte</t>
  </si>
  <si>
    <t>door over-</t>
  </si>
  <si>
    <t>verzadi-</t>
  </si>
  <si>
    <t>ging [pae]</t>
  </si>
  <si>
    <t>cyclische afwik-</t>
  </si>
  <si>
    <t>keling [pae]</t>
  </si>
  <si>
    <t>Capaciteit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</si>
</sst>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0" tint="-0.1499984740745262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  <xf numFmtId="164" fontId="1" fillId="2" borderId="0" xfId="0" applyNumberFormat="1" applyFont="1" applyFill="1"/>
    <xf numFmtId="164" fontId="1" fillId="3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" fontId="2" fillId="2" borderId="0" xfId="0" applyNumberFormat="1" applyFont="1" applyFill="1"/>
    <xf numFmtId="1" fontId="3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0" fontId="2" fillId="2" borderId="0" xfId="0" applyFont="1" applyFill="1"/>
    <xf numFmtId="164" fontId="4" fillId="2" borderId="0" xfId="0" applyNumberFormat="1" applyFont="1" applyFill="1"/>
    <xf numFmtId="0" fontId="5" fillId="2" borderId="0" xfId="0" applyFont="1" applyFill="1"/>
    <xf numFmtId="1" fontId="5" fillId="2" borderId="0" xfId="0" applyNumberFormat="1" applyFont="1" applyFill="1"/>
    <xf numFmtId="0" fontId="5" fillId="2" borderId="0" xfId="0" applyFont="1" applyFill="1" applyAlignment="1">
      <alignment horizontal="right"/>
    </xf>
    <xf numFmtId="1" fontId="6" fillId="2" borderId="0" xfId="0" applyNumberFormat="1" applyFont="1" applyFill="1" applyAlignment="1">
      <alignment horizontal="right"/>
    </xf>
    <xf numFmtId="1" fontId="5" fillId="2" borderId="0" xfId="0" applyNumberFormat="1" applyFont="1" applyFill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45298-009D-4377-BE65-23BB3CC4485B}">
  <dimension ref="B1:U31"/>
  <sheetViews>
    <sheetView tabSelected="1" zoomScaleNormal="100" workbookViewId="0">
      <selection activeCell="S12" sqref="S12"/>
    </sheetView>
  </sheetViews>
  <sheetFormatPr defaultColWidth="8.85546875" defaultRowHeight="15" x14ac:dyDescent="0.25"/>
  <cols>
    <col min="1" max="1" width="0.42578125" style="1" customWidth="1"/>
    <col min="2" max="2" width="10.7109375" style="1" customWidth="1"/>
    <col min="3" max="3" width="6" style="1" bestFit="1" customWidth="1"/>
    <col min="4" max="4" width="11.140625" style="1" customWidth="1"/>
    <col min="5" max="5" width="8.85546875" style="1"/>
    <col min="6" max="6" width="1.5703125" style="1" customWidth="1"/>
    <col min="7" max="7" width="7" style="3" customWidth="1"/>
    <col min="8" max="8" width="9.42578125" style="1" bestFit="1" customWidth="1"/>
    <col min="9" max="9" width="0.85546875" style="1" customWidth="1"/>
    <col min="10" max="10" width="7.7109375" style="1" bestFit="1" customWidth="1"/>
    <col min="11" max="11" width="8.7109375" style="15" bestFit="1" customWidth="1"/>
    <col min="12" max="12" width="9.28515625" style="15" bestFit="1" customWidth="1"/>
    <col min="13" max="13" width="6.85546875" style="15" bestFit="1" customWidth="1"/>
    <col min="14" max="14" width="9.85546875" style="15" bestFit="1" customWidth="1"/>
    <col min="15" max="15" width="13.28515625" style="15" bestFit="1" customWidth="1"/>
    <col min="16" max="16" width="14.42578125" style="15" bestFit="1" customWidth="1"/>
    <col min="17" max="17" width="8.7109375" style="15" bestFit="1" customWidth="1"/>
    <col min="18" max="18" width="10.140625" style="15" bestFit="1" customWidth="1"/>
    <col min="19" max="19" width="15" style="15" bestFit="1" customWidth="1"/>
    <col min="20" max="20" width="10.85546875" style="13" bestFit="1" customWidth="1"/>
    <col min="21" max="21" width="27.85546875" style="6" customWidth="1"/>
    <col min="22" max="16384" width="8.85546875" style="1"/>
  </cols>
  <sheetData>
    <row r="1" spans="2:21" x14ac:dyDescent="0.25">
      <c r="J1" s="4" t="s">
        <v>10</v>
      </c>
      <c r="K1" s="17" t="s">
        <v>10</v>
      </c>
      <c r="L1" s="17" t="s">
        <v>10</v>
      </c>
      <c r="O1" s="17" t="s">
        <v>23</v>
      </c>
      <c r="P1" s="17" t="s">
        <v>23</v>
      </c>
      <c r="Q1" s="17" t="s">
        <v>13</v>
      </c>
      <c r="R1" s="17" t="s">
        <v>42</v>
      </c>
      <c r="S1" s="17" t="s">
        <v>39</v>
      </c>
    </row>
    <row r="2" spans="2:21" x14ac:dyDescent="0.25">
      <c r="B2" s="1" t="s">
        <v>6</v>
      </c>
      <c r="C2" s="2">
        <v>1750</v>
      </c>
      <c r="D2" s="1" t="s">
        <v>7</v>
      </c>
      <c r="H2" s="4" t="s">
        <v>1</v>
      </c>
      <c r="J2" s="4" t="s">
        <v>11</v>
      </c>
      <c r="K2" s="17" t="s">
        <v>12</v>
      </c>
      <c r="L2" s="17" t="s">
        <v>12</v>
      </c>
      <c r="M2" s="17" t="s">
        <v>8</v>
      </c>
      <c r="N2" s="17" t="s">
        <v>48</v>
      </c>
      <c r="O2" s="17" t="s">
        <v>24</v>
      </c>
      <c r="P2" s="17" t="s">
        <v>24</v>
      </c>
      <c r="Q2" s="17" t="s">
        <v>41</v>
      </c>
      <c r="R2" s="17" t="s">
        <v>43</v>
      </c>
      <c r="S2" s="17" t="s">
        <v>40</v>
      </c>
      <c r="T2" s="5" t="s">
        <v>13</v>
      </c>
    </row>
    <row r="3" spans="2:21" x14ac:dyDescent="0.25">
      <c r="H3" s="4" t="s">
        <v>32</v>
      </c>
      <c r="I3" s="4"/>
      <c r="J3" s="4" t="s">
        <v>34</v>
      </c>
      <c r="K3" s="17" t="s">
        <v>36</v>
      </c>
      <c r="L3" s="17" t="s">
        <v>38</v>
      </c>
      <c r="M3" s="17" t="s">
        <v>32</v>
      </c>
      <c r="N3" s="17" t="s">
        <v>32</v>
      </c>
      <c r="O3" s="17" t="s">
        <v>25</v>
      </c>
      <c r="P3" s="17" t="s">
        <v>25</v>
      </c>
      <c r="Q3" s="17" t="s">
        <v>36</v>
      </c>
      <c r="R3" s="17" t="s">
        <v>44</v>
      </c>
      <c r="S3" s="17" t="s">
        <v>46</v>
      </c>
      <c r="T3" s="5" t="s">
        <v>12</v>
      </c>
    </row>
    <row r="4" spans="2:21" x14ac:dyDescent="0.25">
      <c r="B4" s="1" t="s">
        <v>9</v>
      </c>
      <c r="E4" s="14">
        <v>1.0416666666666666E-2</v>
      </c>
      <c r="H4" s="4" t="s">
        <v>31</v>
      </c>
      <c r="I4" s="4"/>
      <c r="J4" s="4" t="s">
        <v>33</v>
      </c>
      <c r="K4" s="17" t="s">
        <v>35</v>
      </c>
      <c r="L4" s="17" t="s">
        <v>37</v>
      </c>
      <c r="M4" s="17" t="s">
        <v>31</v>
      </c>
      <c r="N4" s="17" t="s">
        <v>31</v>
      </c>
      <c r="O4" s="17" t="s">
        <v>27</v>
      </c>
      <c r="P4" s="17" t="s">
        <v>26</v>
      </c>
      <c r="Q4" s="17" t="s">
        <v>37</v>
      </c>
      <c r="R4" s="17" t="s">
        <v>45</v>
      </c>
      <c r="S4" s="17" t="s">
        <v>47</v>
      </c>
      <c r="T4" s="5" t="s">
        <v>14</v>
      </c>
    </row>
    <row r="5" spans="2:21" x14ac:dyDescent="0.25">
      <c r="B5" s="1" t="s">
        <v>2</v>
      </c>
      <c r="C5" s="2">
        <v>103</v>
      </c>
      <c r="D5" s="1" t="s">
        <v>4</v>
      </c>
      <c r="E5" s="8">
        <v>15.28125</v>
      </c>
      <c r="F5" s="7" t="s">
        <v>0</v>
      </c>
      <c r="G5" s="9">
        <f>E5+$E$4</f>
        <v>15.291666666666666</v>
      </c>
      <c r="H5" s="2">
        <v>11</v>
      </c>
      <c r="J5" s="2">
        <v>10</v>
      </c>
      <c r="K5" s="15">
        <f>J6-J5</f>
        <v>15</v>
      </c>
      <c r="L5" s="16">
        <f>K5/7</f>
        <v>2.1428571428571428</v>
      </c>
      <c r="M5" s="16">
        <f>H5+L5</f>
        <v>13.142857142857142</v>
      </c>
      <c r="N5" s="16">
        <f>C$16</f>
        <v>191.14077669902912</v>
      </c>
      <c r="O5" s="16">
        <f t="shared" ref="O5:O13" si="0">100*SUM(M5:M8)/SUM(N5:N8)</f>
        <v>41.555011337868486</v>
      </c>
      <c r="P5" s="16">
        <f>100*SUM(M5:M12)/SUM(N5:N12)</f>
        <v>69.526167800453507</v>
      </c>
      <c r="Q5" s="16">
        <f>M5-N5</f>
        <v>-177.99791955617198</v>
      </c>
      <c r="R5" s="17">
        <v>0</v>
      </c>
      <c r="S5" s="16">
        <f>MIN(M5:N5)*$C$5/900</f>
        <v>1.504126984126984</v>
      </c>
      <c r="T5" s="10">
        <f>(R5+S5)*7</f>
        <v>10.528888888888888</v>
      </c>
      <c r="U5" s="11" t="str">
        <f t="shared" ref="U5:U12" si="1">IF(T5=MAX(T$5:T$30),"◄─ Maximale wachtrijlengte [m]","")</f>
        <v/>
      </c>
    </row>
    <row r="6" spans="2:21" x14ac:dyDescent="0.25">
      <c r="E6" s="12">
        <f>E5+$E$4</f>
        <v>15.291666666666666</v>
      </c>
      <c r="F6" s="7" t="s">
        <v>0</v>
      </c>
      <c r="G6" s="9">
        <f>G5+$E$4</f>
        <v>15.302083333333332</v>
      </c>
      <c r="H6" s="2">
        <v>43</v>
      </c>
      <c r="J6" s="2">
        <v>25</v>
      </c>
      <c r="K6" s="15">
        <f t="shared" ref="K6:K15" si="2">J7-J6</f>
        <v>0</v>
      </c>
      <c r="L6" s="16">
        <f t="shared" ref="L6:L15" si="3">K6/7</f>
        <v>0</v>
      </c>
      <c r="M6" s="16">
        <f t="shared" ref="M6:M30" si="4">H6+L6</f>
        <v>43</v>
      </c>
      <c r="N6" s="16">
        <f t="shared" ref="N6:N15" si="5">C$16</f>
        <v>191.14077669902912</v>
      </c>
      <c r="O6" s="16">
        <f t="shared" si="0"/>
        <v>59.791383219954646</v>
      </c>
      <c r="P6" s="16">
        <f>100*SUM(M6:M13)/SUM(N6:N13)</f>
        <v>83.773333333333326</v>
      </c>
      <c r="Q6" s="16">
        <f t="shared" ref="Q6:Q16" si="6">M6-N6</f>
        <v>-148.14077669902912</v>
      </c>
      <c r="R6" s="16">
        <f t="shared" ref="R6:R16" si="7">IF(R5+Q6&lt;0,0,R5+Q6)</f>
        <v>0</v>
      </c>
      <c r="S6" s="16">
        <f t="shared" ref="S6:S15" si="8">MIN(M6:N6)*$C$5/900</f>
        <v>4.9211111111111112</v>
      </c>
      <c r="T6" s="10">
        <f t="shared" ref="T6:T16" si="9">(R6+S6)*7</f>
        <v>34.44777777777778</v>
      </c>
      <c r="U6" s="11" t="str">
        <f t="shared" si="1"/>
        <v/>
      </c>
    </row>
    <row r="7" spans="2:21" x14ac:dyDescent="0.25">
      <c r="E7" s="12">
        <f t="shared" ref="E7:E16" si="10">E6+$E$4</f>
        <v>15.302083333333332</v>
      </c>
      <c r="F7" s="7" t="s">
        <v>0</v>
      </c>
      <c r="G7" s="9">
        <f t="shared" ref="G7:G16" si="11">G6+$E$4</f>
        <v>15.312499999999998</v>
      </c>
      <c r="H7" s="2">
        <v>123</v>
      </c>
      <c r="J7" s="2">
        <v>25</v>
      </c>
      <c r="K7" s="15">
        <f t="shared" si="2"/>
        <v>0</v>
      </c>
      <c r="L7" s="16">
        <f t="shared" si="3"/>
        <v>0</v>
      </c>
      <c r="M7" s="16">
        <f t="shared" si="4"/>
        <v>123</v>
      </c>
      <c r="N7" s="16">
        <f t="shared" si="5"/>
        <v>191.14077669902912</v>
      </c>
      <c r="O7" s="16">
        <f t="shared" si="0"/>
        <v>78.438820861677996</v>
      </c>
      <c r="P7" s="16">
        <f>100*SUM(M7:M14)/SUM(N7:N14)</f>
        <v>91.9946485260771</v>
      </c>
      <c r="Q7" s="16">
        <f t="shared" si="6"/>
        <v>-68.140776699029118</v>
      </c>
      <c r="R7" s="16">
        <f t="shared" si="7"/>
        <v>0</v>
      </c>
      <c r="S7" s="16">
        <f t="shared" si="8"/>
        <v>14.076666666666666</v>
      </c>
      <c r="T7" s="10">
        <f t="shared" si="9"/>
        <v>98.536666666666662</v>
      </c>
      <c r="U7" s="11" t="str">
        <f t="shared" si="1"/>
        <v/>
      </c>
    </row>
    <row r="8" spans="2:21" x14ac:dyDescent="0.25">
      <c r="E8" s="12">
        <f t="shared" si="10"/>
        <v>15.312499999999998</v>
      </c>
      <c r="F8" s="7" t="s">
        <v>0</v>
      </c>
      <c r="G8" s="9">
        <f t="shared" si="11"/>
        <v>15.322916666666664</v>
      </c>
      <c r="H8" s="2">
        <v>135</v>
      </c>
      <c r="J8" s="2">
        <v>25</v>
      </c>
      <c r="K8" s="15">
        <f t="shared" si="2"/>
        <v>25</v>
      </c>
      <c r="L8" s="16">
        <f t="shared" si="3"/>
        <v>3.5714285714285716</v>
      </c>
      <c r="M8" s="16">
        <f t="shared" si="4"/>
        <v>138.57142857142858</v>
      </c>
      <c r="N8" s="16">
        <f t="shared" si="5"/>
        <v>191.14077669902912</v>
      </c>
      <c r="O8" s="16">
        <f t="shared" si="0"/>
        <v>86.566712018140592</v>
      </c>
      <c r="P8" s="16">
        <f>100*SUM(M8:M15)/SUM(N8:N15)</f>
        <v>93.452063492063488</v>
      </c>
      <c r="Q8" s="16">
        <f t="shared" si="6"/>
        <v>-52.569348127600534</v>
      </c>
      <c r="R8" s="16">
        <f t="shared" si="7"/>
        <v>0</v>
      </c>
      <c r="S8" s="16">
        <f t="shared" si="8"/>
        <v>15.858730158730161</v>
      </c>
      <c r="T8" s="10">
        <f t="shared" si="9"/>
        <v>111.01111111111112</v>
      </c>
      <c r="U8" s="11" t="str">
        <f t="shared" si="1"/>
        <v/>
      </c>
    </row>
    <row r="9" spans="2:21" x14ac:dyDescent="0.25">
      <c r="B9" s="1" t="s">
        <v>5</v>
      </c>
      <c r="C9" s="2">
        <v>45</v>
      </c>
      <c r="D9" s="1" t="s">
        <v>4</v>
      </c>
      <c r="E9" s="12">
        <f t="shared" si="10"/>
        <v>15.322916666666664</v>
      </c>
      <c r="F9" s="7" t="s">
        <v>0</v>
      </c>
      <c r="G9" s="9">
        <f t="shared" si="11"/>
        <v>15.33333333333333</v>
      </c>
      <c r="H9" s="2">
        <v>149</v>
      </c>
      <c r="J9" s="2">
        <v>50</v>
      </c>
      <c r="K9" s="15">
        <f t="shared" si="2"/>
        <v>25</v>
      </c>
      <c r="L9" s="16">
        <f t="shared" si="3"/>
        <v>3.5714285714285716</v>
      </c>
      <c r="M9" s="16">
        <f t="shared" si="4"/>
        <v>152.57142857142858</v>
      </c>
      <c r="N9" s="16">
        <f t="shared" si="5"/>
        <v>191.14077669902912</v>
      </c>
      <c r="O9" s="16">
        <f t="shared" si="0"/>
        <v>97.49732426303855</v>
      </c>
      <c r="P9" s="16">
        <f>100*SUM(M9:M16)/SUM(N9:N16)</f>
        <v>90.995011337868462</v>
      </c>
      <c r="Q9" s="16">
        <f t="shared" si="6"/>
        <v>-38.569348127600534</v>
      </c>
      <c r="R9" s="16">
        <f t="shared" si="7"/>
        <v>0</v>
      </c>
      <c r="S9" s="16">
        <f t="shared" si="8"/>
        <v>17.460952380952385</v>
      </c>
      <c r="T9" s="10">
        <f t="shared" si="9"/>
        <v>122.22666666666669</v>
      </c>
      <c r="U9" s="11" t="str">
        <f t="shared" si="1"/>
        <v/>
      </c>
    </row>
    <row r="10" spans="2:21" x14ac:dyDescent="0.25">
      <c r="B10" s="1" t="s">
        <v>15</v>
      </c>
      <c r="E10" s="12">
        <f t="shared" si="10"/>
        <v>15.33333333333333</v>
      </c>
      <c r="F10" s="7" t="s">
        <v>0</v>
      </c>
      <c r="G10" s="9">
        <f t="shared" si="11"/>
        <v>15.343749999999996</v>
      </c>
      <c r="H10" s="2">
        <v>182</v>
      </c>
      <c r="J10" s="2">
        <v>75</v>
      </c>
      <c r="K10" s="15">
        <f t="shared" si="2"/>
        <v>25</v>
      </c>
      <c r="L10" s="16">
        <f t="shared" si="3"/>
        <v>3.5714285714285716</v>
      </c>
      <c r="M10" s="16">
        <f t="shared" si="4"/>
        <v>185.57142857142858</v>
      </c>
      <c r="N10" s="16">
        <f t="shared" si="5"/>
        <v>191.14077669902912</v>
      </c>
      <c r="O10" s="16">
        <f t="shared" si="0"/>
        <v>107.75528344671203</v>
      </c>
      <c r="P10" s="16"/>
      <c r="Q10" s="16">
        <f t="shared" si="6"/>
        <v>-5.5693481276005343</v>
      </c>
      <c r="R10" s="16">
        <f t="shared" si="7"/>
        <v>0</v>
      </c>
      <c r="S10" s="16">
        <f t="shared" si="8"/>
        <v>21.237619047619049</v>
      </c>
      <c r="T10" s="10">
        <f t="shared" si="9"/>
        <v>148.66333333333336</v>
      </c>
      <c r="U10" s="11" t="str">
        <f t="shared" si="1"/>
        <v/>
      </c>
    </row>
    <row r="11" spans="2:21" x14ac:dyDescent="0.25">
      <c r="B11" s="1" t="s">
        <v>16</v>
      </c>
      <c r="E11" s="12">
        <f t="shared" si="10"/>
        <v>15.343749999999996</v>
      </c>
      <c r="F11" s="7" t="s">
        <v>0</v>
      </c>
      <c r="G11" s="9">
        <f t="shared" si="11"/>
        <v>15.354166666666663</v>
      </c>
      <c r="H11" s="2">
        <v>178</v>
      </c>
      <c r="J11" s="2">
        <v>100</v>
      </c>
      <c r="K11" s="15">
        <f t="shared" si="2"/>
        <v>50</v>
      </c>
      <c r="L11" s="16">
        <f t="shared" si="3"/>
        <v>7.1428571428571432</v>
      </c>
      <c r="M11" s="16">
        <f t="shared" si="4"/>
        <v>185.14285714285714</v>
      </c>
      <c r="N11" s="16">
        <f t="shared" si="5"/>
        <v>191.14077669902912</v>
      </c>
      <c r="O11" s="16">
        <f t="shared" si="0"/>
        <v>105.55047619047619</v>
      </c>
      <c r="P11" s="16"/>
      <c r="Q11" s="16">
        <f t="shared" si="6"/>
        <v>-5.9979195561719791</v>
      </c>
      <c r="R11" s="16">
        <f t="shared" si="7"/>
        <v>0</v>
      </c>
      <c r="S11" s="16">
        <f t="shared" si="8"/>
        <v>21.188571428571429</v>
      </c>
      <c r="T11" s="10">
        <f t="shared" si="9"/>
        <v>148.32</v>
      </c>
      <c r="U11" s="11" t="str">
        <f t="shared" si="1"/>
        <v/>
      </c>
    </row>
    <row r="12" spans="2:21" x14ac:dyDescent="0.25">
      <c r="B12" s="1" t="s">
        <v>17</v>
      </c>
      <c r="E12" s="12">
        <f t="shared" si="10"/>
        <v>15.354166666666663</v>
      </c>
      <c r="F12" s="7" t="s">
        <v>0</v>
      </c>
      <c r="G12" s="9">
        <f t="shared" si="11"/>
        <v>15.364583333333329</v>
      </c>
      <c r="H12" s="2">
        <v>215</v>
      </c>
      <c r="J12" s="2">
        <v>150</v>
      </c>
      <c r="K12" s="15">
        <f t="shared" si="2"/>
        <v>50</v>
      </c>
      <c r="L12" s="16">
        <f t="shared" si="3"/>
        <v>7.1428571428571432</v>
      </c>
      <c r="M12" s="16">
        <f t="shared" si="4"/>
        <v>222.14285714285714</v>
      </c>
      <c r="N12" s="16">
        <f t="shared" si="5"/>
        <v>191.14077669902912</v>
      </c>
      <c r="O12" s="16">
        <f t="shared" si="0"/>
        <v>100.3374149659864</v>
      </c>
      <c r="P12" s="16"/>
      <c r="Q12" s="16">
        <f t="shared" si="6"/>
        <v>31.002080443828021</v>
      </c>
      <c r="R12" s="16">
        <f t="shared" si="7"/>
        <v>31.002080443828021</v>
      </c>
      <c r="S12" s="16">
        <f>MIN(M12:N12)*$C$5/900</f>
        <v>21.875</v>
      </c>
      <c r="T12" s="10">
        <f t="shared" si="9"/>
        <v>370.13956310679612</v>
      </c>
      <c r="U12" s="11" t="str">
        <f t="shared" si="1"/>
        <v/>
      </c>
    </row>
    <row r="13" spans="2:21" x14ac:dyDescent="0.25">
      <c r="B13" s="1" t="s">
        <v>20</v>
      </c>
      <c r="E13" s="12">
        <f t="shared" si="10"/>
        <v>15.364583333333329</v>
      </c>
      <c r="F13" s="7" t="s">
        <v>0</v>
      </c>
      <c r="G13" s="9">
        <f t="shared" si="11"/>
        <v>15.374999999999995</v>
      </c>
      <c r="H13" s="2">
        <v>231</v>
      </c>
      <c r="J13" s="2">
        <v>200</v>
      </c>
      <c r="K13" s="15">
        <f t="shared" si="2"/>
        <v>0</v>
      </c>
      <c r="L13" s="16">
        <f t="shared" si="3"/>
        <v>0</v>
      </c>
      <c r="M13" s="16">
        <f t="shared" si="4"/>
        <v>231</v>
      </c>
      <c r="N13" s="16">
        <f t="shared" si="5"/>
        <v>191.14077669902912</v>
      </c>
      <c r="O13" s="16">
        <f t="shared" si="0"/>
        <v>84.492698412698417</v>
      </c>
      <c r="P13" s="18"/>
      <c r="Q13" s="16">
        <f t="shared" si="6"/>
        <v>39.859223300970882</v>
      </c>
      <c r="R13" s="16">
        <f t="shared" si="7"/>
        <v>70.861303744798903</v>
      </c>
      <c r="S13" s="16">
        <f t="shared" si="8"/>
        <v>21.875</v>
      </c>
      <c r="T13" s="10">
        <f t="shared" si="9"/>
        <v>649.15412621359235</v>
      </c>
      <c r="U13" s="11" t="str">
        <f>IF(T13=MAX(T$5:T$30),"◄─ Maximale wachtrijlengte [m]","")</f>
        <v>◄─ Maximale wachtrijlengte [m]</v>
      </c>
    </row>
    <row r="14" spans="2:21" x14ac:dyDescent="0.25">
      <c r="B14" s="1" t="s">
        <v>21</v>
      </c>
      <c r="E14" s="12">
        <f t="shared" si="10"/>
        <v>15.374999999999995</v>
      </c>
      <c r="F14" s="7" t="s">
        <v>0</v>
      </c>
      <c r="G14" s="9">
        <f t="shared" si="11"/>
        <v>15.385416666666661</v>
      </c>
      <c r="H14" s="2">
        <v>183</v>
      </c>
      <c r="J14" s="2">
        <v>200</v>
      </c>
      <c r="K14" s="15">
        <f t="shared" si="2"/>
        <v>-100</v>
      </c>
      <c r="L14" s="16">
        <f t="shared" si="3"/>
        <v>-14.285714285714286</v>
      </c>
      <c r="M14" s="16">
        <f t="shared" si="4"/>
        <v>168.71428571428572</v>
      </c>
      <c r="N14" s="16">
        <f t="shared" si="5"/>
        <v>191.14077669902912</v>
      </c>
      <c r="O14" s="17" t="s">
        <v>30</v>
      </c>
      <c r="P14" s="18" t="s">
        <v>30</v>
      </c>
      <c r="Q14" s="16">
        <f t="shared" si="6"/>
        <v>-22.426490984743396</v>
      </c>
      <c r="R14" s="16">
        <f t="shared" si="7"/>
        <v>48.434812760055507</v>
      </c>
      <c r="S14" s="16">
        <f t="shared" si="8"/>
        <v>19.308412698412702</v>
      </c>
      <c r="T14" s="10">
        <f t="shared" si="9"/>
        <v>474.20257820927742</v>
      </c>
      <c r="U14" s="11" t="str">
        <f t="shared" ref="U14:U16" si="12">IF(T14=MAX(T$5:T$30),"◄─ Maximale wachtrijlengte [m]","")</f>
        <v/>
      </c>
    </row>
    <row r="15" spans="2:21" x14ac:dyDescent="0.25">
      <c r="B15" s="1" t="s">
        <v>18</v>
      </c>
      <c r="C15" s="2"/>
      <c r="D15" s="1" t="s">
        <v>19</v>
      </c>
      <c r="E15" s="12">
        <f t="shared" si="10"/>
        <v>15.385416666666661</v>
      </c>
      <c r="F15" s="7" t="s">
        <v>0</v>
      </c>
      <c r="G15" s="9">
        <f t="shared" si="11"/>
        <v>15.395833333333327</v>
      </c>
      <c r="H15" s="2">
        <v>156</v>
      </c>
      <c r="J15" s="2">
        <v>100</v>
      </c>
      <c r="K15" s="15">
        <f t="shared" si="2"/>
        <v>-75</v>
      </c>
      <c r="L15" s="16">
        <f t="shared" si="3"/>
        <v>-10.714285714285714</v>
      </c>
      <c r="M15" s="16">
        <f t="shared" si="4"/>
        <v>145.28571428571428</v>
      </c>
      <c r="N15" s="16">
        <f t="shared" si="5"/>
        <v>191.14077669902912</v>
      </c>
      <c r="O15" s="17" t="s">
        <v>28</v>
      </c>
      <c r="P15" s="18" t="s">
        <v>29</v>
      </c>
      <c r="Q15" s="16">
        <f t="shared" si="6"/>
        <v>-45.85506241331484</v>
      </c>
      <c r="R15" s="16">
        <f t="shared" si="7"/>
        <v>2.5797503467406671</v>
      </c>
      <c r="S15" s="16">
        <f t="shared" si="8"/>
        <v>16.627142857142857</v>
      </c>
      <c r="T15" s="10">
        <f t="shared" si="9"/>
        <v>134.44825242718468</v>
      </c>
      <c r="U15" s="11" t="str">
        <f t="shared" si="12"/>
        <v/>
      </c>
    </row>
    <row r="16" spans="2:21" x14ac:dyDescent="0.25">
      <c r="B16" s="15" t="s">
        <v>18</v>
      </c>
      <c r="C16" s="16">
        <f>IF(C9&gt;0,C$2*(C9/C5)/4,C15*900/C5)</f>
        <v>191.14077669902912</v>
      </c>
      <c r="D16" s="15" t="s">
        <v>22</v>
      </c>
      <c r="E16" s="12">
        <f t="shared" si="10"/>
        <v>15.395833333333327</v>
      </c>
      <c r="F16" s="7" t="s">
        <v>0</v>
      </c>
      <c r="G16" s="9">
        <f t="shared" si="11"/>
        <v>15.406249999999993</v>
      </c>
      <c r="H16" s="2">
        <v>101</v>
      </c>
      <c r="J16" s="2">
        <v>25</v>
      </c>
      <c r="M16" s="16">
        <f t="shared" si="4"/>
        <v>101</v>
      </c>
      <c r="N16" s="16">
        <f>C$16</f>
        <v>191.14077669902912</v>
      </c>
      <c r="O16" s="19">
        <f>MAX(O5:O13)</f>
        <v>107.75528344671203</v>
      </c>
      <c r="P16" s="18">
        <f>MAX(P5:P9)</f>
        <v>93.452063492063488</v>
      </c>
      <c r="Q16" s="16">
        <f t="shared" si="6"/>
        <v>-90.140776699029118</v>
      </c>
      <c r="R16" s="16">
        <f t="shared" si="7"/>
        <v>0</v>
      </c>
      <c r="S16" s="16">
        <f>MIN(M16:N16)*$C$5/900</f>
        <v>11.558888888888889</v>
      </c>
      <c r="T16" s="10">
        <f t="shared" si="9"/>
        <v>80.912222222222226</v>
      </c>
      <c r="U16" s="11" t="str">
        <f t="shared" si="12"/>
        <v/>
      </c>
    </row>
    <row r="17" spans="2:21" x14ac:dyDescent="0.25">
      <c r="M17" s="16"/>
      <c r="U17" s="11" t="str">
        <f t="shared" ref="U17:U18" si="13">IF(T17=MAX(T$5:T$30),"&lt;- Maximale wachtrijlengte [m]","")</f>
        <v/>
      </c>
    </row>
    <row r="18" spans="2:21" x14ac:dyDescent="0.25">
      <c r="B18" s="1" t="s">
        <v>3</v>
      </c>
      <c r="M18" s="16"/>
      <c r="U18" s="11" t="str">
        <f t="shared" si="13"/>
        <v/>
      </c>
    </row>
    <row r="19" spans="2:21" x14ac:dyDescent="0.25">
      <c r="B19" s="1" t="s">
        <v>2</v>
      </c>
      <c r="C19" s="2">
        <v>105</v>
      </c>
      <c r="D19" s="1" t="s">
        <v>4</v>
      </c>
      <c r="E19" s="8">
        <v>0.625</v>
      </c>
      <c r="F19" s="7" t="s">
        <v>0</v>
      </c>
      <c r="G19" s="9">
        <f>E19+$E$4</f>
        <v>0.63541666666666663</v>
      </c>
      <c r="H19" s="2">
        <v>132</v>
      </c>
      <c r="J19" s="2">
        <v>75</v>
      </c>
      <c r="K19" s="15">
        <f t="shared" ref="K19:K29" si="14">J20-J19</f>
        <v>25</v>
      </c>
      <c r="L19" s="16">
        <f>K19/7</f>
        <v>3.5714285714285716</v>
      </c>
      <c r="M19" s="16">
        <f t="shared" si="4"/>
        <v>135.57142857142858</v>
      </c>
      <c r="N19" s="16">
        <f>C$30</f>
        <v>200</v>
      </c>
      <c r="O19" s="16">
        <f t="shared" ref="O19:O27" si="15">100*SUM(M19:M22)/SUM(N19:N22)</f>
        <v>79.982142857142861</v>
      </c>
      <c r="P19" s="16">
        <f>100*SUM(M19:M26)/SUM(N19:N26)</f>
        <v>90.107142857142861</v>
      </c>
      <c r="Q19" s="16">
        <f>M19-N19</f>
        <v>-64.428571428571416</v>
      </c>
      <c r="R19" s="15">
        <v>0</v>
      </c>
      <c r="S19" s="16">
        <f>MIN(M19:N19)*$C$19/900</f>
        <v>15.816666666666668</v>
      </c>
      <c r="T19" s="10">
        <f t="shared" ref="T19:T30" si="16">(R19+S19)*7</f>
        <v>110.71666666666668</v>
      </c>
      <c r="U19" s="11" t="str">
        <f t="shared" ref="U19:U30" si="17">IF(T19=MAX(T$5:T$30),"◄─ Maximale wachtrijlengte [m]","")</f>
        <v/>
      </c>
    </row>
    <row r="20" spans="2:21" x14ac:dyDescent="0.25">
      <c r="E20" s="12">
        <f>E19+$E$4</f>
        <v>0.63541666666666663</v>
      </c>
      <c r="F20" s="7" t="s">
        <v>0</v>
      </c>
      <c r="G20" s="9">
        <f>G19+$E$4</f>
        <v>0.64583333333333326</v>
      </c>
      <c r="H20" s="2">
        <v>146</v>
      </c>
      <c r="J20" s="2">
        <v>100</v>
      </c>
      <c r="K20" s="15">
        <f t="shared" si="14"/>
        <v>50</v>
      </c>
      <c r="L20" s="16">
        <f t="shared" ref="L20:L29" si="18">K20/7</f>
        <v>7.1428571428571432</v>
      </c>
      <c r="M20" s="16">
        <f t="shared" si="4"/>
        <v>153.14285714285714</v>
      </c>
      <c r="N20" s="16">
        <f t="shared" ref="N20:N30" si="19">C$30</f>
        <v>200</v>
      </c>
      <c r="O20" s="16">
        <f t="shared" si="15"/>
        <v>86.517857142857139</v>
      </c>
      <c r="P20" s="16">
        <f>100*SUM(M20:M27)/SUM(N20:N27)</f>
        <v>92.375</v>
      </c>
      <c r="Q20" s="16">
        <f t="shared" ref="Q20:Q30" si="20">M20-N20</f>
        <v>-46.857142857142861</v>
      </c>
      <c r="R20" s="16">
        <f t="shared" ref="R20:R30" si="21">IF(R19+Q20&lt;0,0,R19+Q20)</f>
        <v>0</v>
      </c>
      <c r="S20" s="16">
        <f t="shared" ref="S20:S30" si="22">MIN(M20:N20)*$C$19/900</f>
        <v>17.866666666666667</v>
      </c>
      <c r="T20" s="10">
        <f t="shared" si="16"/>
        <v>125.06666666666666</v>
      </c>
      <c r="U20" s="11" t="str">
        <f t="shared" si="17"/>
        <v/>
      </c>
    </row>
    <row r="21" spans="2:21" x14ac:dyDescent="0.25">
      <c r="E21" s="12">
        <f t="shared" ref="E21:E30" si="23">E20+$E$4</f>
        <v>0.64583333333333326</v>
      </c>
      <c r="F21" s="7" t="s">
        <v>0</v>
      </c>
      <c r="G21" s="9">
        <f t="shared" ref="G21:G30" si="24">G20+$E$4</f>
        <v>0.65624999999999989</v>
      </c>
      <c r="H21" s="2">
        <v>168</v>
      </c>
      <c r="J21" s="2">
        <v>150</v>
      </c>
      <c r="K21" s="15">
        <f t="shared" si="14"/>
        <v>50</v>
      </c>
      <c r="L21" s="16">
        <f t="shared" si="18"/>
        <v>7.1428571428571432</v>
      </c>
      <c r="M21" s="16">
        <f t="shared" si="4"/>
        <v>175.14285714285714</v>
      </c>
      <c r="N21" s="16">
        <f t="shared" si="19"/>
        <v>200</v>
      </c>
      <c r="O21" s="16">
        <f t="shared" si="15"/>
        <v>94.375</v>
      </c>
      <c r="P21" s="16">
        <f>100*SUM(M21:M28)/SUM(N21:N28)</f>
        <v>89.821428571428569</v>
      </c>
      <c r="Q21" s="16">
        <f t="shared" si="20"/>
        <v>-24.857142857142861</v>
      </c>
      <c r="R21" s="16">
        <f t="shared" si="21"/>
        <v>0</v>
      </c>
      <c r="S21" s="16">
        <f t="shared" si="22"/>
        <v>20.433333333333334</v>
      </c>
      <c r="T21" s="10">
        <f t="shared" si="16"/>
        <v>143.03333333333333</v>
      </c>
      <c r="U21" s="11" t="str">
        <f t="shared" si="17"/>
        <v/>
      </c>
    </row>
    <row r="22" spans="2:21" x14ac:dyDescent="0.25">
      <c r="E22" s="12">
        <f t="shared" si="23"/>
        <v>0.65624999999999989</v>
      </c>
      <c r="F22" s="7" t="s">
        <v>0</v>
      </c>
      <c r="G22" s="9">
        <f t="shared" si="24"/>
        <v>0.66666666666666652</v>
      </c>
      <c r="H22" s="2">
        <v>176</v>
      </c>
      <c r="J22" s="2">
        <v>200</v>
      </c>
      <c r="K22" s="15">
        <f t="shared" si="14"/>
        <v>0</v>
      </c>
      <c r="L22" s="16">
        <f t="shared" si="18"/>
        <v>0</v>
      </c>
      <c r="M22" s="16">
        <f t="shared" si="4"/>
        <v>176</v>
      </c>
      <c r="N22" s="16">
        <f t="shared" si="19"/>
        <v>200</v>
      </c>
      <c r="O22" s="16">
        <f t="shared" si="15"/>
        <v>98.107142857142861</v>
      </c>
      <c r="P22" s="16">
        <f>100*SUM(M22:M29)/SUM(N22:N29)</f>
        <v>86.125</v>
      </c>
      <c r="Q22" s="16">
        <f t="shared" si="20"/>
        <v>-24</v>
      </c>
      <c r="R22" s="16">
        <f t="shared" si="21"/>
        <v>0</v>
      </c>
      <c r="S22" s="16">
        <f t="shared" si="22"/>
        <v>20.533333333333335</v>
      </c>
      <c r="T22" s="10">
        <f t="shared" si="16"/>
        <v>143.73333333333335</v>
      </c>
      <c r="U22" s="11" t="str">
        <f t="shared" si="17"/>
        <v/>
      </c>
    </row>
    <row r="23" spans="2:21" x14ac:dyDescent="0.25">
      <c r="B23" s="1" t="s">
        <v>5</v>
      </c>
      <c r="C23" s="2">
        <v>48</v>
      </c>
      <c r="D23" s="1" t="s">
        <v>4</v>
      </c>
      <c r="E23" s="12">
        <f t="shared" si="23"/>
        <v>0.66666666666666652</v>
      </c>
      <c r="F23" s="7" t="s">
        <v>0</v>
      </c>
      <c r="G23" s="9">
        <f t="shared" si="24"/>
        <v>0.67708333333333315</v>
      </c>
      <c r="H23" s="2">
        <v>195</v>
      </c>
      <c r="J23" s="2">
        <v>200</v>
      </c>
      <c r="K23" s="15">
        <f t="shared" si="14"/>
        <v>-50</v>
      </c>
      <c r="L23" s="16">
        <f t="shared" si="18"/>
        <v>-7.1428571428571432</v>
      </c>
      <c r="M23" s="16">
        <f t="shared" si="4"/>
        <v>187.85714285714286</v>
      </c>
      <c r="N23" s="16">
        <f t="shared" si="19"/>
        <v>200</v>
      </c>
      <c r="O23" s="16">
        <f t="shared" si="15"/>
        <v>100.23214285714286</v>
      </c>
      <c r="P23" s="16">
        <f>100*SUM(M23:M30)/SUM(N23:N30)</f>
        <v>80.875</v>
      </c>
      <c r="Q23" s="16">
        <f t="shared" si="20"/>
        <v>-12.142857142857139</v>
      </c>
      <c r="R23" s="16">
        <f t="shared" si="21"/>
        <v>0</v>
      </c>
      <c r="S23" s="16">
        <f t="shared" si="22"/>
        <v>21.916666666666668</v>
      </c>
      <c r="T23" s="10">
        <f t="shared" si="16"/>
        <v>153.41666666666669</v>
      </c>
      <c r="U23" s="11" t="str">
        <f t="shared" si="17"/>
        <v/>
      </c>
    </row>
    <row r="24" spans="2:21" x14ac:dyDescent="0.25">
      <c r="B24" s="1" t="s">
        <v>15</v>
      </c>
      <c r="E24" s="12">
        <f t="shared" si="23"/>
        <v>0.67708333333333315</v>
      </c>
      <c r="F24" s="7" t="s">
        <v>0</v>
      </c>
      <c r="G24" s="9">
        <f t="shared" si="24"/>
        <v>0.68749999999999978</v>
      </c>
      <c r="H24" s="2">
        <v>216</v>
      </c>
      <c r="J24" s="2">
        <v>150</v>
      </c>
      <c r="K24" s="15">
        <f t="shared" si="14"/>
        <v>0</v>
      </c>
      <c r="L24" s="16">
        <f t="shared" si="18"/>
        <v>0</v>
      </c>
      <c r="M24" s="16">
        <f t="shared" si="4"/>
        <v>216</v>
      </c>
      <c r="N24" s="16">
        <f t="shared" si="19"/>
        <v>200</v>
      </c>
      <c r="O24" s="16">
        <f t="shared" si="15"/>
        <v>98.232142857142861</v>
      </c>
      <c r="P24" s="16"/>
      <c r="Q24" s="16">
        <f t="shared" si="20"/>
        <v>16</v>
      </c>
      <c r="R24" s="16">
        <f t="shared" si="21"/>
        <v>16</v>
      </c>
      <c r="S24" s="16">
        <f t="shared" si="22"/>
        <v>23.333333333333332</v>
      </c>
      <c r="T24" s="10">
        <f t="shared" si="16"/>
        <v>275.33333333333331</v>
      </c>
      <c r="U24" s="11" t="str">
        <f t="shared" si="17"/>
        <v/>
      </c>
    </row>
    <row r="25" spans="2:21" x14ac:dyDescent="0.25">
      <c r="B25" s="1" t="s">
        <v>16</v>
      </c>
      <c r="E25" s="12">
        <f t="shared" si="23"/>
        <v>0.68749999999999978</v>
      </c>
      <c r="F25" s="7" t="s">
        <v>0</v>
      </c>
      <c r="G25" s="9">
        <f t="shared" si="24"/>
        <v>0.69791666666666641</v>
      </c>
      <c r="H25" s="2">
        <v>205</v>
      </c>
      <c r="J25" s="2">
        <v>150</v>
      </c>
      <c r="K25" s="15">
        <f t="shared" si="14"/>
        <v>0</v>
      </c>
      <c r="L25" s="16">
        <f t="shared" si="18"/>
        <v>0</v>
      </c>
      <c r="M25" s="16">
        <f t="shared" si="4"/>
        <v>205</v>
      </c>
      <c r="N25" s="16">
        <f t="shared" si="19"/>
        <v>200</v>
      </c>
      <c r="O25" s="16">
        <f t="shared" si="15"/>
        <v>85.267857142857153</v>
      </c>
      <c r="P25" s="16"/>
      <c r="Q25" s="16">
        <f t="shared" si="20"/>
        <v>5</v>
      </c>
      <c r="R25" s="16">
        <f t="shared" si="21"/>
        <v>21</v>
      </c>
      <c r="S25" s="16">
        <f t="shared" si="22"/>
        <v>23.333333333333332</v>
      </c>
      <c r="T25" s="10">
        <f t="shared" si="16"/>
        <v>310.33333333333331</v>
      </c>
      <c r="U25" s="11" t="str">
        <f t="shared" si="17"/>
        <v/>
      </c>
    </row>
    <row r="26" spans="2:21" x14ac:dyDescent="0.25">
      <c r="B26" s="1" t="s">
        <v>17</v>
      </c>
      <c r="E26" s="12">
        <f t="shared" si="23"/>
        <v>0.69791666666666641</v>
      </c>
      <c r="F26" s="7" t="s">
        <v>0</v>
      </c>
      <c r="G26" s="9">
        <f t="shared" si="24"/>
        <v>0.70833333333333304</v>
      </c>
      <c r="H26" s="2">
        <v>193</v>
      </c>
      <c r="J26" s="2">
        <v>150</v>
      </c>
      <c r="K26" s="15">
        <f t="shared" si="14"/>
        <v>0</v>
      </c>
      <c r="L26" s="16">
        <f t="shared" si="18"/>
        <v>0</v>
      </c>
      <c r="M26" s="16">
        <f t="shared" si="4"/>
        <v>193</v>
      </c>
      <c r="N26" s="16">
        <f t="shared" si="19"/>
        <v>200</v>
      </c>
      <c r="O26" s="16">
        <f t="shared" si="15"/>
        <v>74.142857142857139</v>
      </c>
      <c r="P26" s="16"/>
      <c r="Q26" s="16">
        <f t="shared" si="20"/>
        <v>-7</v>
      </c>
      <c r="R26" s="16">
        <f t="shared" si="21"/>
        <v>14</v>
      </c>
      <c r="S26" s="16">
        <f t="shared" si="22"/>
        <v>22.516666666666666</v>
      </c>
      <c r="T26" s="10">
        <f t="shared" si="16"/>
        <v>255.61666666666667</v>
      </c>
      <c r="U26" s="11" t="str">
        <f t="shared" si="17"/>
        <v/>
      </c>
    </row>
    <row r="27" spans="2:21" x14ac:dyDescent="0.25">
      <c r="B27" s="1" t="s">
        <v>20</v>
      </c>
      <c r="E27" s="12">
        <f t="shared" si="23"/>
        <v>0.70833333333333304</v>
      </c>
      <c r="F27" s="7" t="s">
        <v>0</v>
      </c>
      <c r="G27" s="9">
        <f t="shared" si="24"/>
        <v>0.71874999999999967</v>
      </c>
      <c r="H27" s="2">
        <v>179</v>
      </c>
      <c r="J27" s="2">
        <v>150</v>
      </c>
      <c r="K27" s="15">
        <f t="shared" si="14"/>
        <v>-50</v>
      </c>
      <c r="L27" s="16">
        <f t="shared" si="18"/>
        <v>-7.1428571428571432</v>
      </c>
      <c r="M27" s="16">
        <f t="shared" si="4"/>
        <v>171.85714285714286</v>
      </c>
      <c r="N27" s="16">
        <f t="shared" si="19"/>
        <v>200</v>
      </c>
      <c r="O27" s="16">
        <f t="shared" si="15"/>
        <v>61.517857142857146</v>
      </c>
      <c r="P27" s="18"/>
      <c r="Q27" s="16">
        <f t="shared" si="20"/>
        <v>-28.142857142857139</v>
      </c>
      <c r="R27" s="16">
        <f t="shared" si="21"/>
        <v>0</v>
      </c>
      <c r="S27" s="16">
        <f t="shared" si="22"/>
        <v>20.05</v>
      </c>
      <c r="T27" s="10">
        <f t="shared" si="16"/>
        <v>140.35</v>
      </c>
      <c r="U27" s="11" t="str">
        <f t="shared" si="17"/>
        <v/>
      </c>
    </row>
    <row r="28" spans="2:21" x14ac:dyDescent="0.25">
      <c r="B28" s="1" t="s">
        <v>21</v>
      </c>
      <c r="E28" s="12">
        <f t="shared" si="23"/>
        <v>0.71874999999999967</v>
      </c>
      <c r="F28" s="7" t="s">
        <v>0</v>
      </c>
      <c r="G28" s="9">
        <f t="shared" si="24"/>
        <v>0.7291666666666663</v>
      </c>
      <c r="H28" s="2">
        <v>123</v>
      </c>
      <c r="J28" s="2">
        <v>100</v>
      </c>
      <c r="K28" s="15">
        <f t="shared" si="14"/>
        <v>-75</v>
      </c>
      <c r="L28" s="16">
        <f t="shared" si="18"/>
        <v>-10.714285714285714</v>
      </c>
      <c r="M28" s="16">
        <f t="shared" si="4"/>
        <v>112.28571428571429</v>
      </c>
      <c r="N28" s="16">
        <f t="shared" si="19"/>
        <v>200</v>
      </c>
      <c r="O28" s="17" t="s">
        <v>30</v>
      </c>
      <c r="P28" s="18" t="s">
        <v>30</v>
      </c>
      <c r="Q28" s="16">
        <f t="shared" si="20"/>
        <v>-87.714285714285708</v>
      </c>
      <c r="R28" s="16">
        <f t="shared" si="21"/>
        <v>0</v>
      </c>
      <c r="S28" s="16">
        <f t="shared" si="22"/>
        <v>13.1</v>
      </c>
      <c r="T28" s="10">
        <f t="shared" si="16"/>
        <v>91.7</v>
      </c>
      <c r="U28" s="11" t="str">
        <f t="shared" si="17"/>
        <v/>
      </c>
    </row>
    <row r="29" spans="2:21" x14ac:dyDescent="0.25">
      <c r="B29" s="1" t="s">
        <v>18</v>
      </c>
      <c r="C29" s="2"/>
      <c r="D29" s="1" t="s">
        <v>19</v>
      </c>
      <c r="E29" s="12">
        <f t="shared" si="23"/>
        <v>0.7291666666666663</v>
      </c>
      <c r="F29" s="7" t="s">
        <v>0</v>
      </c>
      <c r="G29" s="9">
        <f t="shared" si="24"/>
        <v>0.73958333333333293</v>
      </c>
      <c r="H29" s="2">
        <v>116</v>
      </c>
      <c r="J29" s="2">
        <v>25</v>
      </c>
      <c r="K29" s="15">
        <f t="shared" si="14"/>
        <v>0</v>
      </c>
      <c r="L29" s="16">
        <f t="shared" si="18"/>
        <v>0</v>
      </c>
      <c r="M29" s="16">
        <f t="shared" si="4"/>
        <v>116</v>
      </c>
      <c r="N29" s="16">
        <f t="shared" si="19"/>
        <v>200</v>
      </c>
      <c r="O29" s="17" t="s">
        <v>28</v>
      </c>
      <c r="P29" s="18" t="s">
        <v>29</v>
      </c>
      <c r="Q29" s="16">
        <f t="shared" si="20"/>
        <v>-84</v>
      </c>
      <c r="R29" s="16">
        <f t="shared" si="21"/>
        <v>0</v>
      </c>
      <c r="S29" s="16">
        <f t="shared" si="22"/>
        <v>13.533333333333333</v>
      </c>
      <c r="T29" s="10">
        <f t="shared" si="16"/>
        <v>94.733333333333334</v>
      </c>
      <c r="U29" s="11" t="str">
        <f t="shared" si="17"/>
        <v/>
      </c>
    </row>
    <row r="30" spans="2:21" x14ac:dyDescent="0.25">
      <c r="B30" s="15" t="s">
        <v>18</v>
      </c>
      <c r="C30" s="16">
        <f>IF(C23&gt;0,C$2*(C23/C19)/4,C29*900/C19)</f>
        <v>200</v>
      </c>
      <c r="D30" s="15" t="s">
        <v>22</v>
      </c>
      <c r="E30" s="12">
        <f t="shared" si="23"/>
        <v>0.73958333333333293</v>
      </c>
      <c r="F30" s="7" t="s">
        <v>0</v>
      </c>
      <c r="G30" s="9">
        <f t="shared" si="24"/>
        <v>0.74999999999999956</v>
      </c>
      <c r="H30" s="2">
        <v>92</v>
      </c>
      <c r="J30" s="2">
        <v>25</v>
      </c>
      <c r="M30" s="16">
        <f t="shared" si="4"/>
        <v>92</v>
      </c>
      <c r="N30" s="16">
        <f t="shared" si="19"/>
        <v>200</v>
      </c>
      <c r="O30" s="19">
        <f>MAX(O19:O27)</f>
        <v>100.23214285714286</v>
      </c>
      <c r="P30" s="18">
        <f>MAX(P19:P23)</f>
        <v>92.375</v>
      </c>
      <c r="Q30" s="16">
        <f t="shared" si="20"/>
        <v>-108</v>
      </c>
      <c r="R30" s="16">
        <f t="shared" si="21"/>
        <v>0</v>
      </c>
      <c r="S30" s="16">
        <f t="shared" si="22"/>
        <v>10.733333333333333</v>
      </c>
      <c r="T30" s="10">
        <f t="shared" si="16"/>
        <v>75.133333333333326</v>
      </c>
      <c r="U30" s="11" t="str">
        <f t="shared" si="17"/>
        <v/>
      </c>
    </row>
    <row r="31" spans="2:21" x14ac:dyDescent="0.25">
      <c r="E31" s="7"/>
      <c r="F31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Signaalgroep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't Hof Michiel</dc:creator>
  <cp:lastModifiedBy>Van 't Hof Michiel</cp:lastModifiedBy>
  <dcterms:created xsi:type="dcterms:W3CDTF">2025-03-20T06:43:43Z</dcterms:created>
  <dcterms:modified xsi:type="dcterms:W3CDTF">2025-11-25T10:33:26Z</dcterms:modified>
</cp:coreProperties>
</file>